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<sst xmlns="http://schemas.openxmlformats.org/spreadsheetml/2006/main" count="101">
  <si>
    <t>单位：万元</t>
  </si>
  <si>
    <t>项    目</t>
  </si>
  <si>
    <t>2024年  调整预算数</t>
  </si>
  <si>
    <t>上年   同期数</t>
  </si>
  <si>
    <t>比上年同期</t>
  </si>
  <si>
    <t>2024年调整预算数</t>
  </si>
  <si>
    <t>上年同期数</t>
  </si>
  <si>
    <t>金额</t>
  </si>
  <si>
    <t>占预算%</t>
  </si>
  <si>
    <t>增减额</t>
  </si>
  <si>
    <t>增减%</t>
  </si>
  <si>
    <t>收入总计</t>
  </si>
  <si>
    <t>支出总计</t>
  </si>
  <si>
    <t>一般公共预算收入合计</t>
  </si>
  <si>
    <t>一般公共预算支出合计</t>
  </si>
  <si>
    <t>税收收入小计</t>
  </si>
  <si>
    <t>1、</t>
  </si>
  <si>
    <t>一般公共服务</t>
  </si>
  <si>
    <t>1、增值税（50％）</t>
  </si>
  <si>
    <t>2、</t>
  </si>
  <si>
    <t>外交</t>
  </si>
  <si>
    <t>2、营业税</t>
  </si>
  <si>
    <t>3、</t>
  </si>
  <si>
    <t>国防</t>
  </si>
  <si>
    <t>3、企业所得税</t>
  </si>
  <si>
    <t>4、</t>
  </si>
  <si>
    <t>公共安全</t>
  </si>
  <si>
    <t>4、企业所得税退税</t>
  </si>
  <si>
    <t>5、</t>
  </si>
  <si>
    <t>教育</t>
  </si>
  <si>
    <t>5、个人所得税</t>
  </si>
  <si>
    <t>6、</t>
  </si>
  <si>
    <t>科学技术</t>
  </si>
  <si>
    <t>6、资源税</t>
  </si>
  <si>
    <t>7、</t>
  </si>
  <si>
    <t>文化体育与传媒</t>
  </si>
  <si>
    <t>7、固定资产投资方向调节税</t>
  </si>
  <si>
    <t>8、</t>
  </si>
  <si>
    <t>社会保障和就业</t>
  </si>
  <si>
    <t>8、城市维护建设税</t>
  </si>
  <si>
    <t>9、</t>
  </si>
  <si>
    <t>卫生健康</t>
  </si>
  <si>
    <t>9、房产税</t>
  </si>
  <si>
    <t>10、</t>
  </si>
  <si>
    <t>节能环保</t>
  </si>
  <si>
    <t>10、印花税</t>
  </si>
  <si>
    <t>11、</t>
  </si>
  <si>
    <t>城乡社区</t>
  </si>
  <si>
    <t>11、城镇土地使用税</t>
  </si>
  <si>
    <t>12、</t>
  </si>
  <si>
    <t>农林水</t>
  </si>
  <si>
    <t>12、土地增值税</t>
  </si>
  <si>
    <t>13、</t>
  </si>
  <si>
    <t>交通运输</t>
  </si>
  <si>
    <t>13、车船使用和牌照税</t>
  </si>
  <si>
    <t>14、</t>
  </si>
  <si>
    <t>资源勘探</t>
  </si>
  <si>
    <t>14、耕地占用税</t>
  </si>
  <si>
    <t>15、</t>
  </si>
  <si>
    <t>商业服务业</t>
  </si>
  <si>
    <t>15、契税</t>
  </si>
  <si>
    <t>16、</t>
  </si>
  <si>
    <t>金融监管</t>
  </si>
  <si>
    <t>17、</t>
  </si>
  <si>
    <t>自然资源气象</t>
  </si>
  <si>
    <t>18、</t>
  </si>
  <si>
    <t>住房保障</t>
  </si>
  <si>
    <t>非税收入小计</t>
  </si>
  <si>
    <t>19、</t>
  </si>
  <si>
    <t>灾害防治应急管理</t>
  </si>
  <si>
    <t>16、专项收入</t>
  </si>
  <si>
    <t>20、</t>
  </si>
  <si>
    <t>粮油物资储备</t>
  </si>
  <si>
    <t>17、行政事业性收费收入</t>
  </si>
  <si>
    <t>21、</t>
  </si>
  <si>
    <t>债务付息</t>
  </si>
  <si>
    <t>18、罚没收入</t>
  </si>
  <si>
    <t>22、</t>
  </si>
  <si>
    <t>其他支出</t>
  </si>
  <si>
    <t>19、国有资本经营收入</t>
  </si>
  <si>
    <t>23、</t>
  </si>
  <si>
    <t>债务发行费用</t>
  </si>
  <si>
    <t>20、国有资源（资产）有偿使用</t>
  </si>
  <si>
    <t>24、</t>
  </si>
  <si>
    <t>预备费</t>
  </si>
  <si>
    <t>21、捐赠收入</t>
  </si>
  <si>
    <t>25、</t>
  </si>
  <si>
    <t>债务还本支出</t>
  </si>
  <si>
    <t>22、其他收入</t>
  </si>
  <si>
    <t>26、</t>
  </si>
  <si>
    <t>上解支出</t>
  </si>
  <si>
    <t>政府性基金收入合计</t>
  </si>
  <si>
    <t>政府性基金支出合计</t>
  </si>
  <si>
    <t>上划中央四税收入</t>
  </si>
  <si>
    <t xml:space="preserve">    增值税（50%部分）</t>
  </si>
  <si>
    <t xml:space="preserve">    消费税（100%部分）</t>
  </si>
  <si>
    <t xml:space="preserve">    企业所得税（60%部分）</t>
  </si>
  <si>
    <t xml:space="preserve">    个人所得税（60%部分）</t>
  </si>
  <si>
    <t>增值税(100%)</t>
  </si>
  <si>
    <t>企业所得税（100%）</t>
  </si>
  <si>
    <t>个人所得税(100%)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</si>
</sst>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%"/>
    <numFmt numFmtId="178" formatCode="_-&quot;￥&quot;* #,##0.00_-;\-&quot;￥&quot;* #,##0.00_-;_-&quot;￥&quot;* &quot;-&quot;??_-;_-@_-"/>
    <numFmt numFmtId="179" formatCode="0_);[Red]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宋体-18030"/>
      <charset val="134"/>
    </font>
    <font>
      <b/>
      <sz val="11"/>
      <name val="宋体-18030"/>
      <charset val="134"/>
    </font>
    <font>
      <b/>
      <sz val="14"/>
      <name val="宋体-18030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8" fontId="1" fillId="2" borderId="0" xfId="4" applyNumberFormat="1" applyFont="1" applyFill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177" fontId="1" fillId="2" borderId="0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Border="1" applyAlignment="1">
      <alignment horizontal="right" vertical="center"/>
    </xf>
    <xf numFmtId="177" fontId="1" fillId="2" borderId="0" xfId="0" applyNumberFormat="1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vertical="center"/>
    </xf>
    <xf numFmtId="0" fontId="2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/>
    </xf>
    <xf numFmtId="0" fontId="4" fillId="0" borderId="0" xfId="49" applyFont="1" applyFill="1" applyBorder="1" applyAlignment="1" applyProtection="1">
      <alignment horizontal="right"/>
    </xf>
    <xf numFmtId="177" fontId="5" fillId="0" borderId="0" xfId="49" applyNumberFormat="1" applyFont="1" applyFill="1" applyBorder="1" applyAlignment="1" applyProtection="1">
      <alignment horizontal="right"/>
    </xf>
    <xf numFmtId="176" fontId="4" fillId="0" borderId="0" xfId="49" applyNumberFormat="1" applyFont="1" applyFill="1" applyBorder="1" applyAlignment="1" applyProtection="1">
      <alignment horizontal="right"/>
    </xf>
    <xf numFmtId="177" fontId="4" fillId="0" borderId="0" xfId="49" applyNumberFormat="1" applyFont="1" applyFill="1" applyBorder="1" applyAlignment="1" applyProtection="1">
      <alignment horizontal="right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7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9" fontId="7" fillId="0" borderId="1" xfId="49" applyNumberFormat="1" applyFont="1" applyFill="1" applyBorder="1" applyAlignment="1" applyProtection="1">
      <alignment horizontal="center" vertical="center" wrapText="1"/>
    </xf>
    <xf numFmtId="10" fontId="7" fillId="0" borderId="1" xfId="11" applyNumberFormat="1" applyFont="1" applyFill="1" applyBorder="1" applyAlignment="1" applyProtection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</xf>
    <xf numFmtId="10" fontId="7" fillId="0" borderId="1" xfId="11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17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179" fontId="7" fillId="3" borderId="1" xfId="49" applyNumberFormat="1" applyFont="1" applyFill="1" applyBorder="1" applyAlignment="1" applyProtection="1">
      <alignment horizontal="center" vertical="center"/>
      <protection locked="0"/>
    </xf>
    <xf numFmtId="179" fontId="7" fillId="0" borderId="1" xfId="49" applyNumberFormat="1" applyFont="1" applyFill="1" applyBorder="1" applyAlignment="1" applyProtection="1">
      <alignment horizontal="center" vertical="center"/>
    </xf>
    <xf numFmtId="179" fontId="7" fillId="3" borderId="1" xfId="49" applyNumberFormat="1" applyFont="1" applyFill="1" applyBorder="1" applyAlignment="1" applyProtection="1">
      <alignment horizontal="center" vertical="center"/>
    </xf>
    <xf numFmtId="10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9" fontId="7" fillId="0" borderId="1" xfId="11" applyNumberFormat="1" applyFont="1" applyFill="1" applyBorder="1" applyAlignment="1" applyProtection="1">
      <alignment horizontal="center" vertical="center" wrapText="1"/>
    </xf>
    <xf numFmtId="179" fontId="7" fillId="0" borderId="1" xfId="49" applyNumberFormat="1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178" fontId="7" fillId="0" borderId="1" xfId="4" applyNumberFormat="1" applyFont="1" applyFill="1" applyBorder="1" applyAlignment="1" applyProtection="1">
      <alignment horizontal="left" vertical="center" wrapText="1"/>
    </xf>
    <xf numFmtId="178" fontId="7" fillId="0" borderId="1" xfId="4" applyNumberFormat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178" fontId="7" fillId="0" borderId="1" xfId="4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3" fillId="0" borderId="0" xfId="49" applyFont="1" applyFill="1" applyBorder="1" applyAlignment="1" applyProtection="1"/>
    <xf numFmtId="0" fontId="4" fillId="0" borderId="0" xfId="49" applyFont="1" applyFill="1" applyBorder="1" applyAlignment="1" applyProtection="1"/>
    <xf numFmtId="177" fontId="4" fillId="0" borderId="0" xfId="49" applyNumberFormat="1" applyFont="1" applyFill="1" applyBorder="1" applyAlignment="1" applyProtection="1"/>
    <xf numFmtId="176" fontId="3" fillId="0" borderId="0" xfId="49" applyNumberFormat="1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left" vertical="center" wrapText="1"/>
    </xf>
    <xf numFmtId="179" fontId="7" fillId="0" borderId="1" xfId="49" applyNumberFormat="1" applyFont="1" applyFill="1" applyBorder="1" applyAlignment="1" applyProtection="1">
      <alignment horizontal="right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3" borderId="1" xfId="49" applyNumberFormat="1" applyFont="1" applyFill="1" applyBorder="1" applyAlignment="1" applyProtection="1">
      <alignment horizontal="center" vertical="center"/>
      <protection locked="0"/>
    </xf>
    <xf numFmtId="0" fontId="7" fillId="0" borderId="1" xfId="49" applyNumberFormat="1" applyFont="1" applyFill="1" applyBorder="1" applyAlignment="1" applyProtection="1">
      <alignment horizontal="center" vertical="center"/>
    </xf>
    <xf numFmtId="0" fontId="7" fillId="6" borderId="1" xfId="49" applyNumberFormat="1" applyFont="1" applyFill="1" applyBorder="1" applyAlignment="1" applyProtection="1">
      <alignment horizontal="center" vertical="center"/>
    </xf>
    <xf numFmtId="0" fontId="7" fillId="6" borderId="1" xfId="49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9" fontId="7" fillId="0" borderId="1" xfId="8" applyNumberFormat="1" applyFont="1" applyFill="1" applyBorder="1" applyAlignment="1" applyProtection="1">
      <alignment horizontal="center" vertical="center"/>
    </xf>
    <xf numFmtId="0" fontId="9" fillId="4" borderId="1" xfId="49" applyFont="1" applyFill="1" applyBorder="1" applyAlignment="1" applyProtection="1">
      <alignment horizontal="center" vertical="center"/>
      <protection locked="0"/>
    </xf>
    <xf numFmtId="2" fontId="7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3" borderId="1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31639;&#25191;&#34892;&#20998;&#26512;&#65288;2024&#24180;&#65289;\&#38463;&#21512;&#22855;&#21439;&#36130;&#25919;2024&#24180;12&#26376;&#39044;&#31639;&#25191;&#34892;&#24773;&#209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月报（从蓝A系统导出粘贴）"/>
      <sheetName val="数据（蓝色部分需手动填入）"/>
      <sheetName val="预算收入分析（自动生成）"/>
      <sheetName val="Sheet1"/>
    </sheetNames>
    <sheetDataSet>
      <sheetData sheetId="0">
        <row r="1">
          <cell r="A1" t="str">
            <v>2024年12月阿合奇县预算执行月报</v>
          </cell>
        </row>
        <row r="6">
          <cell r="F6">
            <v>25238</v>
          </cell>
        </row>
        <row r="7">
          <cell r="C7">
            <v>3999</v>
          </cell>
        </row>
        <row r="62">
          <cell r="C62">
            <v>415</v>
          </cell>
        </row>
        <row r="188">
          <cell r="C188">
            <v>407</v>
          </cell>
        </row>
        <row r="195">
          <cell r="C195">
            <v>430</v>
          </cell>
        </row>
        <row r="200">
          <cell r="C200">
            <v>338</v>
          </cell>
        </row>
        <row r="216">
          <cell r="C216">
            <v>140</v>
          </cell>
        </row>
        <row r="225">
          <cell r="C225">
            <v>146</v>
          </cell>
        </row>
        <row r="231">
          <cell r="C231">
            <v>24</v>
          </cell>
        </row>
        <row r="240">
          <cell r="C240">
            <v>67</v>
          </cell>
        </row>
        <row r="247">
          <cell r="F247">
            <v>0</v>
          </cell>
        </row>
        <row r="249">
          <cell r="C249">
            <v>262</v>
          </cell>
        </row>
        <row r="270">
          <cell r="C270">
            <v>-558</v>
          </cell>
        </row>
        <row r="274">
          <cell r="C274">
            <v>133</v>
          </cell>
        </row>
        <row r="287">
          <cell r="C287">
            <v>423</v>
          </cell>
        </row>
        <row r="287">
          <cell r="F287">
            <v>94</v>
          </cell>
        </row>
        <row r="306">
          <cell r="F306">
            <v>12188</v>
          </cell>
        </row>
        <row r="314">
          <cell r="C314">
            <v>297</v>
          </cell>
        </row>
        <row r="396">
          <cell r="F396">
            <v>34576</v>
          </cell>
        </row>
        <row r="448">
          <cell r="F448">
            <v>337</v>
          </cell>
        </row>
        <row r="504">
          <cell r="F504">
            <v>3746</v>
          </cell>
        </row>
        <row r="508">
          <cell r="C508">
            <v>1754</v>
          </cell>
        </row>
        <row r="548">
          <cell r="C548">
            <v>0</v>
          </cell>
        </row>
        <row r="561">
          <cell r="F561">
            <v>21235</v>
          </cell>
        </row>
        <row r="567">
          <cell r="C567">
            <v>5091</v>
          </cell>
        </row>
        <row r="618">
          <cell r="C618">
            <v>728</v>
          </cell>
        </row>
        <row r="627">
          <cell r="C627">
            <v>5</v>
          </cell>
        </row>
        <row r="637">
          <cell r="C637">
            <v>700</v>
          </cell>
        </row>
        <row r="690">
          <cell r="F690">
            <v>11770</v>
          </cell>
        </row>
        <row r="771">
          <cell r="F771">
            <v>1396</v>
          </cell>
        </row>
        <row r="842">
          <cell r="F842">
            <v>4689</v>
          </cell>
        </row>
        <row r="865">
          <cell r="F865">
            <v>45900</v>
          </cell>
        </row>
        <row r="973">
          <cell r="F973">
            <v>7012</v>
          </cell>
        </row>
        <row r="1025">
          <cell r="F1025">
            <v>0</v>
          </cell>
        </row>
        <row r="1089">
          <cell r="F1089">
            <v>154</v>
          </cell>
        </row>
        <row r="1109">
          <cell r="F1109">
            <v>3</v>
          </cell>
        </row>
        <row r="1149">
          <cell r="F1149">
            <v>473</v>
          </cell>
        </row>
        <row r="1194">
          <cell r="F1194">
            <v>8447</v>
          </cell>
        </row>
        <row r="1215">
          <cell r="F1215">
            <v>0</v>
          </cell>
        </row>
        <row r="1260">
          <cell r="F1260">
            <v>10397</v>
          </cell>
        </row>
        <row r="1310">
          <cell r="F1310">
            <v>3149</v>
          </cell>
        </row>
        <row r="1313">
          <cell r="F1313">
            <v>3395</v>
          </cell>
        </row>
        <row r="1326">
          <cell r="F1326">
            <v>8</v>
          </cell>
        </row>
        <row r="1334">
          <cell r="F1334">
            <v>3353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2"/>
  <sheetViews>
    <sheetView tabSelected="1" workbookViewId="0">
      <selection activeCell="A1" sqref="A1:S1"/>
    </sheetView>
  </sheetViews>
  <sheetFormatPr defaultColWidth="8.8" defaultRowHeight="14.25"/>
  <cols>
    <col min="1" max="1" width="21.5" style="4" customWidth="1"/>
    <col min="2" max="2" width="8.25" style="5" customWidth="1"/>
    <col min="3" max="3" width="6.5" style="5" customWidth="1"/>
    <col min="4" max="4" width="8.625" style="5" customWidth="1"/>
    <col min="5" max="5" width="8.625" style="6" customWidth="1"/>
    <col min="6" max="6" width="6.875" style="7" customWidth="1"/>
    <col min="7" max="7" width="8.5" style="6" customWidth="1"/>
    <col min="8" max="8" width="7.875" style="6" customWidth="1"/>
    <col min="9" max="9" width="7.25" style="6" customWidth="1"/>
    <col min="10" max="10" width="4.7" style="6" customWidth="1"/>
    <col min="11" max="11" width="16.75" style="4" customWidth="1"/>
    <col min="12" max="12" width="8.375" style="2" customWidth="1"/>
    <col min="13" max="13" width="7.25" style="2" customWidth="1"/>
    <col min="14" max="14" width="8.25" style="2" customWidth="1"/>
    <col min="15" max="15" width="9" style="8"/>
    <col min="16" max="16" width="7.75" style="9" customWidth="1"/>
    <col min="17" max="17" width="8.93333333333333" style="8" customWidth="1"/>
    <col min="18" max="18" width="7.875" style="2" customWidth="1"/>
    <col min="19" max="19" width="8.225" style="2" customWidth="1"/>
    <col min="20" max="33" width="9" style="2"/>
    <col min="34" max="16384" width="8.8" style="2"/>
  </cols>
  <sheetData>
    <row r="1" s="1" customFormat="1" ht="21" customHeight="1" spans="1:19">
      <c r="A1" s="10" t="str">
        <f>"克州阿合奇县"&amp;MID('[1]收支月报（从蓝A系统导出粘贴）'!A1,1,FIND("月",'[1]收支月报（从蓝A系统导出粘贴）'!A1,1))&amp;"财政收支预算执行情况表"</f>
        <v>克州阿合奇县2024年12月财政收支预算执行情况表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1" customFormat="1" ht="15" customHeight="1" spans="1:19">
      <c r="A2" s="11"/>
      <c r="B2" s="12"/>
      <c r="C2" s="12"/>
      <c r="D2" s="12"/>
      <c r="E2" s="13"/>
      <c r="F2" s="14"/>
      <c r="G2" s="15"/>
      <c r="H2" s="15"/>
      <c r="I2" s="15"/>
      <c r="J2" s="15"/>
      <c r="K2" s="11"/>
      <c r="L2" s="41"/>
      <c r="M2" s="42"/>
      <c r="N2" s="42"/>
      <c r="O2" s="43"/>
      <c r="P2" s="44"/>
      <c r="Q2" s="43"/>
      <c r="R2" s="62" t="s">
        <v>0</v>
      </c>
      <c r="S2" s="62"/>
    </row>
    <row r="3" s="1" customFormat="1" ht="21" customHeight="1" spans="1:19">
      <c r="A3" s="16" t="s">
        <v>1</v>
      </c>
      <c r="B3" s="17" t="s">
        <v>2</v>
      </c>
      <c r="C3" s="17" t="s">
        <v>3</v>
      </c>
      <c r="D3" s="18" t="str">
        <f>"1-"&amp;MID('[1]收支月报（从蓝A系统导出粘贴）'!A1,6,FIND("月",'[1]收支月报（从蓝A系统导出粘贴）'!A1,1)-FIND("年",'[1]收支月报（从蓝A系统导出粘贴）'!A1,1)-1)&amp;"月累计完成情况"</f>
        <v>1-12月累计完成情况</v>
      </c>
      <c r="E3" s="18"/>
      <c r="F3" s="18" t="s">
        <v>4</v>
      </c>
      <c r="G3" s="18"/>
      <c r="H3" s="17" t="str">
        <f>MID('[1]收支月报（从蓝A系统导出粘贴）'!A1,1,5)&amp;"1-"&amp;VALUE(MID('[1]收支月报（从蓝A系统导出粘贴）'!A1,6,FIND("月",'[1]收支月报（从蓝A系统导出粘贴）'!A1,1)-FIND("年",'[1]收支月报（从蓝A系统导出粘贴）'!A1,1)-1))-1&amp;"月累计完成"</f>
        <v>2024年1-11月累计完成</v>
      </c>
      <c r="I3" s="17" t="str">
        <f>MID('[1]收支月报（从蓝A系统导出粘贴）'!A1,1,FIND("月",'[1]收支月报（从蓝A系统导出粘贴）'!A1,1))&amp;"当月完成"</f>
        <v>2024年12月当月完成</v>
      </c>
      <c r="J3" s="45" t="s">
        <v>1</v>
      </c>
      <c r="K3" s="46"/>
      <c r="L3" s="17" t="s">
        <v>5</v>
      </c>
      <c r="M3" s="17" t="s">
        <v>6</v>
      </c>
      <c r="N3" s="18" t="str">
        <f>"1-"&amp;MID('[1]收支月报（从蓝A系统导出粘贴）'!A1,6,FIND("月",'[1]收支月报（从蓝A系统导出粘贴）'!A1,1)-FIND("年",'[1]收支月报（从蓝A系统导出粘贴）'!A1,1)-1)&amp;"月累计完成情况"</f>
        <v>1-12月累计完成情况</v>
      </c>
      <c r="O3" s="18"/>
      <c r="P3" s="18" t="s">
        <v>4</v>
      </c>
      <c r="Q3" s="18"/>
      <c r="R3" s="17" t="str">
        <f>MID('[1]收支月报（从蓝A系统导出粘贴）'!A1,1,5)&amp;"1-"&amp;VALUE(MID('[1]收支月报（从蓝A系统导出粘贴）'!A1,6,FIND("月",'[1]收支月报（从蓝A系统导出粘贴）'!A1,1)-FIND("年",'[1]收支月报（从蓝A系统导出粘贴）'!A1,1)-1))-1&amp;"月累计完成"</f>
        <v>2024年1-11月累计完成</v>
      </c>
      <c r="S3" s="17" t="str">
        <f>MID('[1]收支月报（从蓝A系统导出粘贴）'!A1,1,FIND("月",'[1]收支月报（从蓝A系统导出粘贴）'!A1,1))&amp;"当月完成"</f>
        <v>2024年12月当月完成</v>
      </c>
    </row>
    <row r="4" s="1" customFormat="1" ht="21" customHeight="1" spans="1:19">
      <c r="A4" s="16"/>
      <c r="B4" s="17"/>
      <c r="C4" s="17"/>
      <c r="D4" s="17" t="s">
        <v>7</v>
      </c>
      <c r="E4" s="19" t="s">
        <v>8</v>
      </c>
      <c r="F4" s="20" t="s">
        <v>9</v>
      </c>
      <c r="G4" s="19" t="s">
        <v>10</v>
      </c>
      <c r="H4" s="17"/>
      <c r="I4" s="17"/>
      <c r="J4" s="47"/>
      <c r="K4" s="48"/>
      <c r="L4" s="17"/>
      <c r="M4" s="17"/>
      <c r="N4" s="17" t="s">
        <v>7</v>
      </c>
      <c r="O4" s="19" t="s">
        <v>8</v>
      </c>
      <c r="P4" s="20" t="s">
        <v>9</v>
      </c>
      <c r="Q4" s="19" t="s">
        <v>10</v>
      </c>
      <c r="R4" s="17"/>
      <c r="S4" s="17"/>
    </row>
    <row r="5" s="1" customFormat="1" ht="13" customHeight="1" spans="1:19">
      <c r="A5" s="16" t="s">
        <v>11</v>
      </c>
      <c r="B5" s="21">
        <f>B6+B34</f>
        <v>19553</v>
      </c>
      <c r="C5" s="22">
        <f t="shared" ref="C5:I5" si="0">C6+C34</f>
        <v>16367</v>
      </c>
      <c r="D5" s="22">
        <f t="shared" si="0"/>
        <v>14801</v>
      </c>
      <c r="E5" s="23">
        <f t="shared" ref="E5:E32" si="1">IF(OR(B5="",B5=0),"",D5/B5)</f>
        <v>0.756968240167749</v>
      </c>
      <c r="F5" s="24">
        <f t="shared" ref="F5:F32" si="2">IF(OR(C5="",C5=0),"",D5-C5)</f>
        <v>-1566</v>
      </c>
      <c r="G5" s="25">
        <f t="shared" ref="G5:G32" si="3">IF(OR(C5="",C5=0),"",SUM(F5/C5))</f>
        <v>-0.0956803323761227</v>
      </c>
      <c r="H5" s="22">
        <f t="shared" si="0"/>
        <v>12693</v>
      </c>
      <c r="I5" s="24">
        <f t="shared" si="0"/>
        <v>2108</v>
      </c>
      <c r="J5" s="49" t="s">
        <v>12</v>
      </c>
      <c r="K5" s="50"/>
      <c r="L5" s="29">
        <f t="shared" ref="L5:N5" si="4">L6+L34</f>
        <v>186691</v>
      </c>
      <c r="M5" s="29">
        <f t="shared" si="4"/>
        <v>186741</v>
      </c>
      <c r="N5" s="29">
        <f t="shared" si="4"/>
        <v>197560</v>
      </c>
      <c r="O5" s="25">
        <f t="shared" ref="O5:O32" si="5">IF(OR(L5="",L5=0),"",N5/L5)</f>
        <v>1.05821919642618</v>
      </c>
      <c r="P5" s="24">
        <f t="shared" ref="P5:P32" si="6">IF(OR(M5="",M5=0),"",N5-M5)</f>
        <v>10819</v>
      </c>
      <c r="Q5" s="25">
        <f t="shared" ref="Q5:Q32" si="7">IF(OR(M5="",M5=0),"",SUM(P5/M5))</f>
        <v>0.0579358576852432</v>
      </c>
      <c r="R5" s="29">
        <f>R6+R34</f>
        <v>178026</v>
      </c>
      <c r="S5" s="61">
        <f>S6+S34</f>
        <v>19533</v>
      </c>
    </row>
    <row r="6" s="1" customFormat="1" ht="15" customHeight="1" spans="1:19">
      <c r="A6" s="16" t="s">
        <v>13</v>
      </c>
      <c r="B6" s="21">
        <f>B7+B25</f>
        <v>13730</v>
      </c>
      <c r="C6" s="22">
        <f t="shared" ref="C6:I6" si="8">C7+C25</f>
        <v>12482</v>
      </c>
      <c r="D6" s="22">
        <f t="shared" si="8"/>
        <v>14101</v>
      </c>
      <c r="E6" s="23">
        <f t="shared" si="1"/>
        <v>1.02702112163146</v>
      </c>
      <c r="F6" s="24">
        <f t="shared" si="2"/>
        <v>1619</v>
      </c>
      <c r="G6" s="25">
        <f t="shared" si="3"/>
        <v>0.129706777759974</v>
      </c>
      <c r="H6" s="22">
        <f t="shared" si="8"/>
        <v>12093</v>
      </c>
      <c r="I6" s="24">
        <f t="shared" si="8"/>
        <v>2008</v>
      </c>
      <c r="J6" s="49" t="s">
        <v>14</v>
      </c>
      <c r="K6" s="50"/>
      <c r="L6" s="29">
        <f>L7+L8+L9+L10+L11+L12+L13+L14+L15+L16+L17+L18+L19+L20+L21+L22+L23+L24+L25+L26+L27+L28+L29+L30+L31+L32</f>
        <v>179667</v>
      </c>
      <c r="M6" s="29">
        <f t="shared" ref="M6:R6" si="9">M7+M8+M9+M10+M11+M12+M13+M14+M15+M16+M17+M18+M19+M20+M21+M22+M23+M24+M25+M26+M27+M28+M29+M30</f>
        <v>179385</v>
      </c>
      <c r="N6" s="29">
        <f t="shared" si="9"/>
        <v>194207</v>
      </c>
      <c r="O6" s="25">
        <f t="shared" si="5"/>
        <v>1.08092749364101</v>
      </c>
      <c r="P6" s="24">
        <f t="shared" si="6"/>
        <v>14822</v>
      </c>
      <c r="Q6" s="25">
        <f t="shared" si="7"/>
        <v>0.0826267525155392</v>
      </c>
      <c r="R6" s="29">
        <f t="shared" si="9"/>
        <v>175018</v>
      </c>
      <c r="S6" s="61">
        <f>SUM(S7:S28)</f>
        <v>19188</v>
      </c>
    </row>
    <row r="7" s="2" customFormat="1" ht="15" customHeight="1" spans="1:19">
      <c r="A7" s="16" t="s">
        <v>15</v>
      </c>
      <c r="B7" s="21">
        <f>B8+B9+B10+B11+B12+B13+B14+B15+B16+B17+B18+B19+B20+B21+B22</f>
        <v>6910</v>
      </c>
      <c r="C7" s="22">
        <f t="shared" ref="C7:I7" si="10">C8+C9+C10+C11+C12+C13+C14+C15+C16+C17+C18+C19+C20+C21+C22</f>
        <v>5634</v>
      </c>
      <c r="D7" s="22">
        <f t="shared" si="10"/>
        <v>5803</v>
      </c>
      <c r="E7" s="23">
        <f t="shared" si="1"/>
        <v>0.839797395079595</v>
      </c>
      <c r="F7" s="24">
        <f t="shared" si="2"/>
        <v>169</v>
      </c>
      <c r="G7" s="25">
        <f t="shared" si="3"/>
        <v>0.0299964501242457</v>
      </c>
      <c r="H7" s="22">
        <f t="shared" si="10"/>
        <v>4968</v>
      </c>
      <c r="I7" s="24">
        <f t="shared" si="10"/>
        <v>835</v>
      </c>
      <c r="J7" s="51" t="s">
        <v>16</v>
      </c>
      <c r="K7" s="26" t="s">
        <v>17</v>
      </c>
      <c r="L7" s="52">
        <v>32537</v>
      </c>
      <c r="M7" s="53">
        <v>32850</v>
      </c>
      <c r="N7" s="54">
        <f>'[1]收支月报（从蓝A系统导出粘贴）'!F6</f>
        <v>25238</v>
      </c>
      <c r="O7" s="25">
        <f t="shared" si="5"/>
        <v>0.775670774810216</v>
      </c>
      <c r="P7" s="24">
        <f t="shared" si="6"/>
        <v>-7612</v>
      </c>
      <c r="Q7" s="25">
        <f t="shared" si="7"/>
        <v>-0.231719939117199</v>
      </c>
      <c r="R7" s="53">
        <v>29703</v>
      </c>
      <c r="S7" s="24">
        <f t="shared" ref="S7:S32" si="11">N7-R7</f>
        <v>-4465</v>
      </c>
    </row>
    <row r="8" s="2" customFormat="1" ht="15" customHeight="1" spans="1:19">
      <c r="A8" s="26" t="s">
        <v>18</v>
      </c>
      <c r="B8" s="27">
        <v>3865</v>
      </c>
      <c r="C8" s="28">
        <v>2963</v>
      </c>
      <c r="D8" s="29">
        <f>'[1]收支月报（从蓝A系统导出粘贴）'!C7</f>
        <v>3999</v>
      </c>
      <c r="E8" s="23">
        <f t="shared" si="1"/>
        <v>1.0346701164295</v>
      </c>
      <c r="F8" s="24">
        <f t="shared" si="2"/>
        <v>1036</v>
      </c>
      <c r="G8" s="25">
        <f t="shared" si="3"/>
        <v>0.349645629429632</v>
      </c>
      <c r="H8" s="28">
        <v>3445</v>
      </c>
      <c r="I8" s="24">
        <f t="shared" ref="I8:I13" si="12">D8-H8</f>
        <v>554</v>
      </c>
      <c r="J8" s="51" t="s">
        <v>19</v>
      </c>
      <c r="K8" s="26" t="s">
        <v>20</v>
      </c>
      <c r="L8" s="52"/>
      <c r="M8" s="53"/>
      <c r="N8" s="54">
        <f>'[1]收支月报（从蓝A系统导出粘贴）'!F247</f>
        <v>0</v>
      </c>
      <c r="O8" s="25" t="str">
        <f t="shared" si="5"/>
        <v/>
      </c>
      <c r="P8" s="24" t="str">
        <f t="shared" si="6"/>
        <v/>
      </c>
      <c r="Q8" s="25" t="str">
        <f t="shared" si="7"/>
        <v/>
      </c>
      <c r="R8" s="63"/>
      <c r="S8" s="24">
        <f t="shared" si="11"/>
        <v>0</v>
      </c>
    </row>
    <row r="9" s="2" customFormat="1" ht="15" customHeight="1" spans="1:19">
      <c r="A9" s="26" t="s">
        <v>21</v>
      </c>
      <c r="B9" s="27"/>
      <c r="C9" s="28"/>
      <c r="D9" s="29"/>
      <c r="E9" s="23" t="str">
        <f t="shared" si="1"/>
        <v/>
      </c>
      <c r="F9" s="24" t="str">
        <f t="shared" si="2"/>
        <v/>
      </c>
      <c r="G9" s="25" t="str">
        <f t="shared" si="3"/>
        <v/>
      </c>
      <c r="H9" s="28"/>
      <c r="I9" s="24"/>
      <c r="J9" s="51" t="s">
        <v>22</v>
      </c>
      <c r="K9" s="26" t="s">
        <v>23</v>
      </c>
      <c r="L9" s="52">
        <v>63</v>
      </c>
      <c r="M9" s="53">
        <v>175</v>
      </c>
      <c r="N9" s="54">
        <f>'[1]收支月报（从蓝A系统导出粘贴）'!F287</f>
        <v>94</v>
      </c>
      <c r="O9" s="25">
        <f t="shared" si="5"/>
        <v>1.49206349206349</v>
      </c>
      <c r="P9" s="24">
        <f t="shared" si="6"/>
        <v>-81</v>
      </c>
      <c r="Q9" s="25">
        <f t="shared" si="7"/>
        <v>-0.462857142857143</v>
      </c>
      <c r="R9" s="53">
        <v>94</v>
      </c>
      <c r="S9" s="24">
        <f t="shared" si="11"/>
        <v>0</v>
      </c>
    </row>
    <row r="10" s="2" customFormat="1" ht="15" customHeight="1" spans="1:19">
      <c r="A10" s="26" t="s">
        <v>24</v>
      </c>
      <c r="B10" s="27">
        <v>317</v>
      </c>
      <c r="C10" s="28">
        <v>261</v>
      </c>
      <c r="D10" s="29">
        <f>'[1]收支月报（从蓝A系统导出粘贴）'!C62</f>
        <v>415</v>
      </c>
      <c r="E10" s="23">
        <f t="shared" si="1"/>
        <v>1.30914826498423</v>
      </c>
      <c r="F10" s="24">
        <f t="shared" si="2"/>
        <v>154</v>
      </c>
      <c r="G10" s="25">
        <f t="shared" si="3"/>
        <v>0.590038314176245</v>
      </c>
      <c r="H10" s="28">
        <v>409</v>
      </c>
      <c r="I10" s="24">
        <f t="shared" si="12"/>
        <v>6</v>
      </c>
      <c r="J10" s="51" t="s">
        <v>25</v>
      </c>
      <c r="K10" s="26" t="s">
        <v>26</v>
      </c>
      <c r="L10" s="52">
        <v>13735</v>
      </c>
      <c r="M10" s="53">
        <v>11485</v>
      </c>
      <c r="N10" s="54">
        <f>'[1]收支月报（从蓝A系统导出粘贴）'!F306</f>
        <v>12188</v>
      </c>
      <c r="O10" s="25">
        <f t="shared" si="5"/>
        <v>0.887368037859483</v>
      </c>
      <c r="P10" s="24">
        <f t="shared" si="6"/>
        <v>703</v>
      </c>
      <c r="Q10" s="25">
        <f t="shared" si="7"/>
        <v>0.061210274270788</v>
      </c>
      <c r="R10" s="53">
        <v>10571</v>
      </c>
      <c r="S10" s="24">
        <f t="shared" si="11"/>
        <v>1617</v>
      </c>
    </row>
    <row r="11" s="2" customFormat="1" ht="15" customHeight="1" spans="1:19">
      <c r="A11" s="26" t="s">
        <v>27</v>
      </c>
      <c r="B11" s="27"/>
      <c r="C11" s="28"/>
      <c r="D11" s="29">
        <f>'[1]收支月报（从蓝A系统导出粘贴）'!C187</f>
        <v>0</v>
      </c>
      <c r="E11" s="23" t="str">
        <f t="shared" si="1"/>
        <v/>
      </c>
      <c r="F11" s="24" t="str">
        <f t="shared" si="2"/>
        <v/>
      </c>
      <c r="G11" s="25" t="str">
        <f t="shared" si="3"/>
        <v/>
      </c>
      <c r="H11" s="28"/>
      <c r="I11" s="24"/>
      <c r="J11" s="51" t="s">
        <v>28</v>
      </c>
      <c r="K11" s="26" t="s">
        <v>29</v>
      </c>
      <c r="L11" s="52">
        <v>32472</v>
      </c>
      <c r="M11" s="53">
        <v>32406</v>
      </c>
      <c r="N11" s="55">
        <f>'[1]收支月报（从蓝A系统导出粘贴）'!F396</f>
        <v>34576</v>
      </c>
      <c r="O11" s="25">
        <f t="shared" si="5"/>
        <v>1.06479428430648</v>
      </c>
      <c r="P11" s="24">
        <f t="shared" si="6"/>
        <v>2170</v>
      </c>
      <c r="Q11" s="25">
        <f t="shared" si="7"/>
        <v>0.0669629081034376</v>
      </c>
      <c r="R11" s="53">
        <v>30194</v>
      </c>
      <c r="S11" s="24">
        <f t="shared" si="11"/>
        <v>4382</v>
      </c>
    </row>
    <row r="12" s="2" customFormat="1" ht="15" customHeight="1" spans="1:19">
      <c r="A12" s="26" t="s">
        <v>30</v>
      </c>
      <c r="B12" s="27">
        <v>440</v>
      </c>
      <c r="C12" s="30">
        <v>420</v>
      </c>
      <c r="D12" s="29">
        <f>'[1]收支月报（从蓝A系统导出粘贴）'!C188</f>
        <v>407</v>
      </c>
      <c r="E12" s="23">
        <f t="shared" si="1"/>
        <v>0.925</v>
      </c>
      <c r="F12" s="24">
        <f t="shared" si="2"/>
        <v>-13</v>
      </c>
      <c r="G12" s="25">
        <f t="shared" si="3"/>
        <v>-0.030952380952381</v>
      </c>
      <c r="H12" s="28">
        <v>365</v>
      </c>
      <c r="I12" s="24">
        <f t="shared" si="12"/>
        <v>42</v>
      </c>
      <c r="J12" s="51" t="s">
        <v>31</v>
      </c>
      <c r="K12" s="26" t="s">
        <v>32</v>
      </c>
      <c r="L12" s="52">
        <v>156</v>
      </c>
      <c r="M12" s="53">
        <v>158</v>
      </c>
      <c r="N12" s="56">
        <f>'[1]收支月报（从蓝A系统导出粘贴）'!F448</f>
        <v>337</v>
      </c>
      <c r="O12" s="25">
        <f t="shared" si="5"/>
        <v>2.16025641025641</v>
      </c>
      <c r="P12" s="24">
        <f t="shared" si="6"/>
        <v>179</v>
      </c>
      <c r="Q12" s="25">
        <f t="shared" si="7"/>
        <v>1.13291139240506</v>
      </c>
      <c r="R12" s="53">
        <v>311</v>
      </c>
      <c r="S12" s="24">
        <f t="shared" si="11"/>
        <v>26</v>
      </c>
    </row>
    <row r="13" s="2" customFormat="1" ht="15" customHeight="1" spans="1:19">
      <c r="A13" s="26" t="s">
        <v>33</v>
      </c>
      <c r="B13" s="27">
        <v>65</v>
      </c>
      <c r="C13" s="28">
        <v>11</v>
      </c>
      <c r="D13" s="29">
        <f>'[1]收支月报（从蓝A系统导出粘贴）'!C195</f>
        <v>430</v>
      </c>
      <c r="E13" s="31">
        <f t="shared" si="1"/>
        <v>6.61538461538461</v>
      </c>
      <c r="F13" s="24">
        <f t="shared" si="2"/>
        <v>419</v>
      </c>
      <c r="G13" s="25">
        <f t="shared" si="3"/>
        <v>38.0909090909091</v>
      </c>
      <c r="H13" s="28">
        <v>317</v>
      </c>
      <c r="I13" s="24">
        <f t="shared" si="12"/>
        <v>113</v>
      </c>
      <c r="J13" s="51" t="s">
        <v>34</v>
      </c>
      <c r="K13" s="26" t="s">
        <v>35</v>
      </c>
      <c r="L13" s="52">
        <v>3014</v>
      </c>
      <c r="M13" s="53">
        <v>2810</v>
      </c>
      <c r="N13" s="56">
        <f>'[1]收支月报（从蓝A系统导出粘贴）'!F504</f>
        <v>3746</v>
      </c>
      <c r="O13" s="25">
        <f t="shared" si="5"/>
        <v>1.24286662242867</v>
      </c>
      <c r="P13" s="24">
        <f t="shared" si="6"/>
        <v>936</v>
      </c>
      <c r="Q13" s="25">
        <f t="shared" si="7"/>
        <v>0.333096085409253</v>
      </c>
      <c r="R13" s="53">
        <v>3159</v>
      </c>
      <c r="S13" s="24">
        <f t="shared" si="11"/>
        <v>587</v>
      </c>
    </row>
    <row r="14" s="2" customFormat="1" ht="18" customHeight="1" spans="1:19">
      <c r="A14" s="26" t="s">
        <v>36</v>
      </c>
      <c r="B14" s="27"/>
      <c r="C14" s="28"/>
      <c r="D14" s="29"/>
      <c r="E14" s="23" t="str">
        <f t="shared" si="1"/>
        <v/>
      </c>
      <c r="F14" s="24" t="str">
        <f t="shared" si="2"/>
        <v/>
      </c>
      <c r="G14" s="25" t="str">
        <f t="shared" si="3"/>
        <v/>
      </c>
      <c r="H14" s="28"/>
      <c r="I14" s="24"/>
      <c r="J14" s="51" t="s">
        <v>37</v>
      </c>
      <c r="K14" s="26" t="s">
        <v>38</v>
      </c>
      <c r="L14" s="52">
        <v>20820</v>
      </c>
      <c r="M14" s="53">
        <v>21231</v>
      </c>
      <c r="N14" s="56">
        <f>'[1]收支月报（从蓝A系统导出粘贴）'!F561</f>
        <v>21235</v>
      </c>
      <c r="O14" s="25">
        <f t="shared" si="5"/>
        <v>1.01993275696446</v>
      </c>
      <c r="P14" s="24">
        <f t="shared" si="6"/>
        <v>4</v>
      </c>
      <c r="Q14" s="25">
        <f t="shared" si="7"/>
        <v>0.00018840374923461</v>
      </c>
      <c r="R14" s="53">
        <v>19371</v>
      </c>
      <c r="S14" s="24">
        <f t="shared" si="11"/>
        <v>1864</v>
      </c>
    </row>
    <row r="15" s="2" customFormat="1" ht="15" customHeight="1" spans="1:19">
      <c r="A15" s="26" t="s">
        <v>39</v>
      </c>
      <c r="B15" s="27">
        <v>370</v>
      </c>
      <c r="C15" s="28">
        <v>278</v>
      </c>
      <c r="D15" s="29">
        <f>'[1]收支月报（从蓝A系统导出粘贴）'!C200</f>
        <v>338</v>
      </c>
      <c r="E15" s="23">
        <f t="shared" si="1"/>
        <v>0.913513513513514</v>
      </c>
      <c r="F15" s="24">
        <f t="shared" si="2"/>
        <v>60</v>
      </c>
      <c r="G15" s="25">
        <f t="shared" si="3"/>
        <v>0.215827338129496</v>
      </c>
      <c r="H15" s="28">
        <v>295</v>
      </c>
      <c r="I15" s="24">
        <f t="shared" ref="I15:I22" si="13">D15-H15</f>
        <v>43</v>
      </c>
      <c r="J15" s="51" t="s">
        <v>40</v>
      </c>
      <c r="K15" s="26" t="s">
        <v>41</v>
      </c>
      <c r="L15" s="52">
        <v>13092</v>
      </c>
      <c r="M15" s="53">
        <v>15266</v>
      </c>
      <c r="N15" s="56">
        <f>'[1]收支月报（从蓝A系统导出粘贴）'!F690</f>
        <v>11770</v>
      </c>
      <c r="O15" s="25">
        <f t="shared" si="5"/>
        <v>0.899022303696914</v>
      </c>
      <c r="P15" s="24">
        <f t="shared" si="6"/>
        <v>-3496</v>
      </c>
      <c r="Q15" s="25">
        <f t="shared" si="7"/>
        <v>-0.229005633433774</v>
      </c>
      <c r="R15" s="53">
        <v>10524</v>
      </c>
      <c r="S15" s="24">
        <f t="shared" si="11"/>
        <v>1246</v>
      </c>
    </row>
    <row r="16" s="2" customFormat="1" ht="15" customHeight="1" spans="1:19">
      <c r="A16" s="26" t="s">
        <v>42</v>
      </c>
      <c r="B16" s="27">
        <v>155</v>
      </c>
      <c r="C16" s="28">
        <v>154</v>
      </c>
      <c r="D16" s="29">
        <f>'[1]收支月报（从蓝A系统导出粘贴）'!C216</f>
        <v>140</v>
      </c>
      <c r="E16" s="23">
        <f t="shared" si="1"/>
        <v>0.903225806451613</v>
      </c>
      <c r="F16" s="24">
        <f t="shared" si="2"/>
        <v>-14</v>
      </c>
      <c r="G16" s="25">
        <f t="shared" si="3"/>
        <v>-0.0909090909090909</v>
      </c>
      <c r="H16" s="28">
        <v>136</v>
      </c>
      <c r="I16" s="24">
        <f t="shared" si="13"/>
        <v>4</v>
      </c>
      <c r="J16" s="51" t="s">
        <v>43</v>
      </c>
      <c r="K16" s="26" t="s">
        <v>44</v>
      </c>
      <c r="L16" s="52">
        <v>1983</v>
      </c>
      <c r="M16" s="53">
        <v>2097</v>
      </c>
      <c r="N16" s="56">
        <f>'[1]收支月报（从蓝A系统导出粘贴）'!F771</f>
        <v>1396</v>
      </c>
      <c r="O16" s="25">
        <f t="shared" si="5"/>
        <v>0.70398386283409</v>
      </c>
      <c r="P16" s="24">
        <f t="shared" si="6"/>
        <v>-701</v>
      </c>
      <c r="Q16" s="25">
        <f t="shared" si="7"/>
        <v>-0.334287076776347</v>
      </c>
      <c r="R16" s="53">
        <v>1336</v>
      </c>
      <c r="S16" s="24">
        <f t="shared" si="11"/>
        <v>60</v>
      </c>
    </row>
    <row r="17" s="2" customFormat="1" ht="15" customHeight="1" spans="1:19">
      <c r="A17" s="26" t="s">
        <v>45</v>
      </c>
      <c r="B17" s="27">
        <v>120</v>
      </c>
      <c r="C17" s="28">
        <v>73</v>
      </c>
      <c r="D17" s="29">
        <f>'[1]收支月报（从蓝A系统导出粘贴）'!C225</f>
        <v>146</v>
      </c>
      <c r="E17" s="23">
        <f t="shared" si="1"/>
        <v>1.21666666666667</v>
      </c>
      <c r="F17" s="24">
        <f t="shared" si="2"/>
        <v>73</v>
      </c>
      <c r="G17" s="25">
        <f t="shared" si="3"/>
        <v>1</v>
      </c>
      <c r="H17" s="28">
        <v>141</v>
      </c>
      <c r="I17" s="24">
        <f t="shared" si="13"/>
        <v>5</v>
      </c>
      <c r="J17" s="51" t="s">
        <v>46</v>
      </c>
      <c r="K17" s="26" t="s">
        <v>47</v>
      </c>
      <c r="L17" s="52">
        <v>3183</v>
      </c>
      <c r="M17" s="53">
        <v>3876</v>
      </c>
      <c r="N17" s="56">
        <f>'[1]收支月报（从蓝A系统导出粘贴）'!F842</f>
        <v>4689</v>
      </c>
      <c r="O17" s="25">
        <f t="shared" si="5"/>
        <v>1.47313854853911</v>
      </c>
      <c r="P17" s="24">
        <f t="shared" si="6"/>
        <v>813</v>
      </c>
      <c r="Q17" s="25">
        <f t="shared" si="7"/>
        <v>0.209752321981424</v>
      </c>
      <c r="R17" s="53">
        <v>3368</v>
      </c>
      <c r="S17" s="24">
        <f t="shared" si="11"/>
        <v>1321</v>
      </c>
    </row>
    <row r="18" s="2" customFormat="1" ht="15" customHeight="1" spans="1:19">
      <c r="A18" s="26" t="s">
        <v>48</v>
      </c>
      <c r="B18" s="27">
        <v>29</v>
      </c>
      <c r="C18" s="28">
        <v>29</v>
      </c>
      <c r="D18" s="29">
        <f>'[1]收支月报（从蓝A系统导出粘贴）'!C231</f>
        <v>24</v>
      </c>
      <c r="E18" s="23">
        <f t="shared" si="1"/>
        <v>0.827586206896552</v>
      </c>
      <c r="F18" s="24">
        <f t="shared" si="2"/>
        <v>-5</v>
      </c>
      <c r="G18" s="25">
        <f t="shared" si="3"/>
        <v>-0.172413793103448</v>
      </c>
      <c r="H18" s="28">
        <v>25</v>
      </c>
      <c r="I18" s="24">
        <f t="shared" si="13"/>
        <v>-1</v>
      </c>
      <c r="J18" s="51" t="s">
        <v>49</v>
      </c>
      <c r="K18" s="26" t="s">
        <v>50</v>
      </c>
      <c r="L18" s="52">
        <v>30465</v>
      </c>
      <c r="M18" s="53">
        <v>30102</v>
      </c>
      <c r="N18" s="56">
        <f>'[1]收支月报（从蓝A系统导出粘贴）'!F865</f>
        <v>45900</v>
      </c>
      <c r="O18" s="25">
        <f t="shared" si="5"/>
        <v>1.50664697193501</v>
      </c>
      <c r="P18" s="24">
        <f t="shared" si="6"/>
        <v>15798</v>
      </c>
      <c r="Q18" s="25">
        <f t="shared" si="7"/>
        <v>0.524815626868647</v>
      </c>
      <c r="R18" s="53">
        <v>33764</v>
      </c>
      <c r="S18" s="24">
        <f t="shared" si="11"/>
        <v>12136</v>
      </c>
    </row>
    <row r="19" s="2" customFormat="1" ht="15" customHeight="1" spans="1:19">
      <c r="A19" s="26" t="s">
        <v>51</v>
      </c>
      <c r="B19" s="27">
        <v>350</v>
      </c>
      <c r="C19" s="28">
        <v>614</v>
      </c>
      <c r="D19" s="29">
        <f>'[1]收支月报（从蓝A系统导出粘贴）'!C240</f>
        <v>67</v>
      </c>
      <c r="E19" s="23">
        <f t="shared" si="1"/>
        <v>0.191428571428571</v>
      </c>
      <c r="F19" s="24">
        <f t="shared" si="2"/>
        <v>-547</v>
      </c>
      <c r="G19" s="25">
        <f t="shared" si="3"/>
        <v>-0.890879478827362</v>
      </c>
      <c r="H19" s="28">
        <v>37</v>
      </c>
      <c r="I19" s="24">
        <f t="shared" si="13"/>
        <v>30</v>
      </c>
      <c r="J19" s="51" t="s">
        <v>52</v>
      </c>
      <c r="K19" s="26" t="s">
        <v>53</v>
      </c>
      <c r="L19" s="52">
        <v>7872</v>
      </c>
      <c r="M19" s="53">
        <v>13953</v>
      </c>
      <c r="N19" s="56">
        <f>'[1]收支月报（从蓝A系统导出粘贴）'!F973</f>
        <v>7012</v>
      </c>
      <c r="O19" s="25">
        <f t="shared" si="5"/>
        <v>0.890752032520325</v>
      </c>
      <c r="P19" s="24">
        <f t="shared" si="6"/>
        <v>-6941</v>
      </c>
      <c r="Q19" s="25">
        <f t="shared" si="7"/>
        <v>-0.497455744284383</v>
      </c>
      <c r="R19" s="53">
        <v>7093</v>
      </c>
      <c r="S19" s="24">
        <f t="shared" si="11"/>
        <v>-81</v>
      </c>
    </row>
    <row r="20" s="2" customFormat="1" ht="15" customHeight="1" spans="1:19">
      <c r="A20" s="26" t="s">
        <v>54</v>
      </c>
      <c r="B20" s="27">
        <v>220</v>
      </c>
      <c r="C20" s="28">
        <v>222</v>
      </c>
      <c r="D20" s="29">
        <f>'[1]收支月报（从蓝A系统导出粘贴）'!C249</f>
        <v>262</v>
      </c>
      <c r="E20" s="23">
        <f t="shared" si="1"/>
        <v>1.19090909090909</v>
      </c>
      <c r="F20" s="24">
        <f t="shared" si="2"/>
        <v>40</v>
      </c>
      <c r="G20" s="25">
        <f t="shared" si="3"/>
        <v>0.18018018018018</v>
      </c>
      <c r="H20" s="28">
        <v>241</v>
      </c>
      <c r="I20" s="24">
        <f t="shared" si="13"/>
        <v>21</v>
      </c>
      <c r="J20" s="51" t="s">
        <v>55</v>
      </c>
      <c r="K20" s="26" t="s">
        <v>56</v>
      </c>
      <c r="L20" s="52">
        <v>0</v>
      </c>
      <c r="M20" s="53">
        <v>55</v>
      </c>
      <c r="N20" s="34">
        <f>'[1]收支月报（从蓝A系统导出粘贴）'!F1025</f>
        <v>0</v>
      </c>
      <c r="O20" s="25" t="str">
        <f t="shared" si="5"/>
        <v/>
      </c>
      <c r="P20" s="24">
        <f t="shared" si="6"/>
        <v>-55</v>
      </c>
      <c r="Q20" s="25">
        <f t="shared" si="7"/>
        <v>-1</v>
      </c>
      <c r="R20" s="53"/>
      <c r="S20" s="24">
        <f t="shared" si="11"/>
        <v>0</v>
      </c>
    </row>
    <row r="21" s="2" customFormat="1" ht="15" customHeight="1" spans="1:19">
      <c r="A21" s="26" t="s">
        <v>57</v>
      </c>
      <c r="B21" s="27">
        <v>784</v>
      </c>
      <c r="C21" s="28">
        <v>408</v>
      </c>
      <c r="D21" s="29">
        <f>'[1]收支月报（从蓝A系统导出粘贴）'!C270</f>
        <v>-558</v>
      </c>
      <c r="E21" s="23">
        <f t="shared" si="1"/>
        <v>-0.711734693877551</v>
      </c>
      <c r="F21" s="24">
        <f t="shared" si="2"/>
        <v>-966</v>
      </c>
      <c r="G21" s="32">
        <f t="shared" si="3"/>
        <v>-2.36764705882353</v>
      </c>
      <c r="H21" s="28">
        <v>-562</v>
      </c>
      <c r="I21" s="24">
        <f t="shared" si="13"/>
        <v>4</v>
      </c>
      <c r="J21" s="51" t="s">
        <v>58</v>
      </c>
      <c r="K21" s="26" t="s">
        <v>59</v>
      </c>
      <c r="L21" s="52">
        <v>154</v>
      </c>
      <c r="M21" s="53">
        <v>152</v>
      </c>
      <c r="N21" s="56">
        <f>'[1]收支月报（从蓝A系统导出粘贴）'!F1089</f>
        <v>154</v>
      </c>
      <c r="O21" s="25">
        <f t="shared" si="5"/>
        <v>1</v>
      </c>
      <c r="P21" s="24">
        <f t="shared" si="6"/>
        <v>2</v>
      </c>
      <c r="Q21" s="25">
        <f t="shared" si="7"/>
        <v>0.0131578947368421</v>
      </c>
      <c r="R21" s="53">
        <v>137</v>
      </c>
      <c r="S21" s="24">
        <f t="shared" si="11"/>
        <v>17</v>
      </c>
    </row>
    <row r="22" s="2" customFormat="1" ht="15" customHeight="1" spans="1:19">
      <c r="A22" s="26" t="s">
        <v>60</v>
      </c>
      <c r="B22" s="27">
        <v>195</v>
      </c>
      <c r="C22" s="28">
        <v>201</v>
      </c>
      <c r="D22" s="29">
        <f>'[1]收支月报（从蓝A系统导出粘贴）'!C274</f>
        <v>133</v>
      </c>
      <c r="E22" s="23">
        <f t="shared" si="1"/>
        <v>0.682051282051282</v>
      </c>
      <c r="F22" s="24">
        <f t="shared" si="2"/>
        <v>-68</v>
      </c>
      <c r="G22" s="25">
        <f t="shared" si="3"/>
        <v>-0.338308457711443</v>
      </c>
      <c r="H22" s="28">
        <v>119</v>
      </c>
      <c r="I22" s="24">
        <f t="shared" si="13"/>
        <v>14</v>
      </c>
      <c r="J22" s="51" t="s">
        <v>61</v>
      </c>
      <c r="K22" s="26" t="s">
        <v>62</v>
      </c>
      <c r="L22" s="52">
        <v>0</v>
      </c>
      <c r="M22" s="53">
        <v>10</v>
      </c>
      <c r="N22" s="34">
        <f>'[1]收支月报（从蓝A系统导出粘贴）'!F1109</f>
        <v>3</v>
      </c>
      <c r="O22" s="25" t="str">
        <f t="shared" si="5"/>
        <v/>
      </c>
      <c r="P22" s="24">
        <f t="shared" si="6"/>
        <v>-7</v>
      </c>
      <c r="Q22" s="25">
        <f t="shared" si="7"/>
        <v>-0.7</v>
      </c>
      <c r="R22" s="53">
        <v>3</v>
      </c>
      <c r="S22" s="24">
        <f t="shared" si="11"/>
        <v>0</v>
      </c>
    </row>
    <row r="23" s="2" customFormat="1" ht="15" customHeight="1" spans="1:19">
      <c r="A23" s="26"/>
      <c r="B23" s="33"/>
      <c r="C23" s="29"/>
      <c r="D23" s="29"/>
      <c r="E23" s="23" t="str">
        <f t="shared" si="1"/>
        <v/>
      </c>
      <c r="F23" s="24" t="str">
        <f t="shared" si="2"/>
        <v/>
      </c>
      <c r="G23" s="25" t="str">
        <f t="shared" si="3"/>
        <v/>
      </c>
      <c r="H23" s="29"/>
      <c r="I23" s="24"/>
      <c r="J23" s="51" t="s">
        <v>63</v>
      </c>
      <c r="K23" s="26" t="s">
        <v>64</v>
      </c>
      <c r="L23" s="52">
        <v>416</v>
      </c>
      <c r="M23" s="53">
        <v>828</v>
      </c>
      <c r="N23" s="56">
        <f>'[1]收支月报（从蓝A系统导出粘贴）'!F1149</f>
        <v>473</v>
      </c>
      <c r="O23" s="25">
        <f t="shared" si="5"/>
        <v>1.13701923076923</v>
      </c>
      <c r="P23" s="24">
        <f t="shared" si="6"/>
        <v>-355</v>
      </c>
      <c r="Q23" s="25">
        <f t="shared" si="7"/>
        <v>-0.428743961352657</v>
      </c>
      <c r="R23" s="53">
        <v>407</v>
      </c>
      <c r="S23" s="24">
        <f t="shared" si="11"/>
        <v>66</v>
      </c>
    </row>
    <row r="24" s="2" customFormat="1" ht="15" customHeight="1" spans="1:19">
      <c r="A24" s="26"/>
      <c r="B24" s="21"/>
      <c r="C24" s="22"/>
      <c r="D24" s="22"/>
      <c r="E24" s="23" t="str">
        <f t="shared" si="1"/>
        <v/>
      </c>
      <c r="F24" s="24" t="str">
        <f t="shared" si="2"/>
        <v/>
      </c>
      <c r="G24" s="25" t="str">
        <f t="shared" si="3"/>
        <v/>
      </c>
      <c r="H24" s="22"/>
      <c r="I24" s="24"/>
      <c r="J24" s="51" t="s">
        <v>65</v>
      </c>
      <c r="K24" s="26" t="s">
        <v>66</v>
      </c>
      <c r="L24" s="52">
        <v>7628</v>
      </c>
      <c r="M24" s="53">
        <v>6411</v>
      </c>
      <c r="N24" s="56">
        <f>'[1]收支月报（从蓝A系统导出粘贴）'!F1194</f>
        <v>8447</v>
      </c>
      <c r="O24" s="25">
        <f t="shared" si="5"/>
        <v>1.10736759307813</v>
      </c>
      <c r="P24" s="24">
        <f t="shared" si="6"/>
        <v>2036</v>
      </c>
      <c r="Q24" s="25">
        <f t="shared" si="7"/>
        <v>0.317579160817345</v>
      </c>
      <c r="R24" s="53">
        <v>8373</v>
      </c>
      <c r="S24" s="24">
        <f t="shared" si="11"/>
        <v>74</v>
      </c>
    </row>
    <row r="25" s="2" customFormat="1" ht="20.25" customHeight="1" spans="1:19">
      <c r="A25" s="16" t="s">
        <v>67</v>
      </c>
      <c r="B25" s="21">
        <f>B26+B27+B28+B29+B30+B31+B32</f>
        <v>6820</v>
      </c>
      <c r="C25" s="22">
        <f t="shared" ref="C25:H25" si="14">C26+C27+C28+C29+C30+C31+C32</f>
        <v>6848</v>
      </c>
      <c r="D25" s="22">
        <f t="shared" si="14"/>
        <v>8298</v>
      </c>
      <c r="E25" s="23">
        <f t="shared" si="1"/>
        <v>1.21671554252199</v>
      </c>
      <c r="F25" s="24">
        <f t="shared" si="2"/>
        <v>1450</v>
      </c>
      <c r="G25" s="25">
        <f t="shared" si="3"/>
        <v>0.211740654205607</v>
      </c>
      <c r="H25" s="22">
        <f t="shared" si="14"/>
        <v>7125</v>
      </c>
      <c r="I25" s="24">
        <f t="shared" ref="I25:I31" si="15">D25-H25</f>
        <v>1173</v>
      </c>
      <c r="J25" s="51" t="s">
        <v>68</v>
      </c>
      <c r="K25" s="26" t="s">
        <v>69</v>
      </c>
      <c r="L25" s="52">
        <v>3268</v>
      </c>
      <c r="M25" s="53">
        <v>644</v>
      </c>
      <c r="N25" s="34">
        <f>'[1]收支月报（从蓝A系统导出粘贴）'!F1260</f>
        <v>10397</v>
      </c>
      <c r="O25" s="25">
        <f t="shared" si="5"/>
        <v>3.18145654834761</v>
      </c>
      <c r="P25" s="24">
        <f t="shared" si="6"/>
        <v>9753</v>
      </c>
      <c r="Q25" s="25">
        <f t="shared" si="7"/>
        <v>15.1444099378882</v>
      </c>
      <c r="R25" s="53">
        <v>10268</v>
      </c>
      <c r="S25" s="24">
        <f t="shared" si="11"/>
        <v>129</v>
      </c>
    </row>
    <row r="26" s="2" customFormat="1" ht="15" customHeight="1" spans="1:19">
      <c r="A26" s="26" t="s">
        <v>70</v>
      </c>
      <c r="B26" s="27">
        <v>1384</v>
      </c>
      <c r="C26" s="28">
        <v>3975</v>
      </c>
      <c r="D26" s="22">
        <f>'[1]收支月报（从蓝A系统导出粘贴）'!C287</f>
        <v>423</v>
      </c>
      <c r="E26" s="23">
        <f t="shared" si="1"/>
        <v>0.305635838150289</v>
      </c>
      <c r="F26" s="24">
        <f t="shared" si="2"/>
        <v>-3552</v>
      </c>
      <c r="G26" s="25">
        <f t="shared" si="3"/>
        <v>-0.893584905660377</v>
      </c>
      <c r="H26" s="28">
        <v>374</v>
      </c>
      <c r="I26" s="24">
        <f t="shared" si="15"/>
        <v>49</v>
      </c>
      <c r="J26" s="51" t="s">
        <v>71</v>
      </c>
      <c r="K26" s="26" t="s">
        <v>72</v>
      </c>
      <c r="L26" s="52">
        <v>2</v>
      </c>
      <c r="M26" s="53">
        <v>0</v>
      </c>
      <c r="N26" s="56">
        <f>'[1]收支月报（从蓝A系统导出粘贴）'!F1215</f>
        <v>0</v>
      </c>
      <c r="O26" s="25">
        <f t="shared" si="5"/>
        <v>0</v>
      </c>
      <c r="P26" s="24" t="str">
        <f t="shared" si="6"/>
        <v/>
      </c>
      <c r="Q26" s="25" t="str">
        <f t="shared" si="7"/>
        <v/>
      </c>
      <c r="R26" s="53"/>
      <c r="S26" s="24">
        <f t="shared" si="11"/>
        <v>0</v>
      </c>
    </row>
    <row r="27" s="2" customFormat="1" ht="15" customHeight="1" spans="1:19">
      <c r="A27" s="26" t="s">
        <v>73</v>
      </c>
      <c r="B27" s="27">
        <v>436</v>
      </c>
      <c r="C27" s="28">
        <v>1541</v>
      </c>
      <c r="D27" s="22">
        <f>'[1]收支月报（从蓝A系统导出粘贴）'!C314</f>
        <v>297</v>
      </c>
      <c r="E27" s="23">
        <f t="shared" si="1"/>
        <v>0.681192660550459</v>
      </c>
      <c r="F27" s="24">
        <f t="shared" si="2"/>
        <v>-1244</v>
      </c>
      <c r="G27" s="25">
        <f t="shared" si="3"/>
        <v>-0.807268007787151</v>
      </c>
      <c r="H27" s="28">
        <v>273</v>
      </c>
      <c r="I27" s="24">
        <f t="shared" si="15"/>
        <v>24</v>
      </c>
      <c r="J27" s="51" t="s">
        <v>74</v>
      </c>
      <c r="K27" s="26" t="s">
        <v>75</v>
      </c>
      <c r="L27" s="52">
        <v>3500</v>
      </c>
      <c r="M27" s="53">
        <v>3380</v>
      </c>
      <c r="N27" s="34">
        <f>'[1]收支月报（从蓝A系统导出粘贴）'!F1313</f>
        <v>3395</v>
      </c>
      <c r="O27" s="25">
        <f t="shared" si="5"/>
        <v>0.97</v>
      </c>
      <c r="P27" s="24">
        <f t="shared" si="6"/>
        <v>15</v>
      </c>
      <c r="Q27" s="25">
        <f t="shared" si="7"/>
        <v>0.00443786982248521</v>
      </c>
      <c r="R27" s="53">
        <v>3186</v>
      </c>
      <c r="S27" s="24">
        <f t="shared" si="11"/>
        <v>209</v>
      </c>
    </row>
    <row r="28" s="2" customFormat="1" ht="15" customHeight="1" spans="1:19">
      <c r="A28" s="26" t="s">
        <v>76</v>
      </c>
      <c r="B28" s="27">
        <v>1500</v>
      </c>
      <c r="C28" s="28">
        <v>368</v>
      </c>
      <c r="D28" s="29">
        <f>'[1]收支月报（从蓝A系统导出粘贴）'!C508</f>
        <v>1754</v>
      </c>
      <c r="E28" s="23">
        <f t="shared" si="1"/>
        <v>1.16933333333333</v>
      </c>
      <c r="F28" s="24">
        <f t="shared" si="2"/>
        <v>1386</v>
      </c>
      <c r="G28" s="25">
        <f t="shared" si="3"/>
        <v>3.76630434782609</v>
      </c>
      <c r="H28" s="28">
        <v>1572</v>
      </c>
      <c r="I28" s="24">
        <f t="shared" si="15"/>
        <v>182</v>
      </c>
      <c r="J28" s="51" t="s">
        <v>77</v>
      </c>
      <c r="K28" s="26" t="s">
        <v>78</v>
      </c>
      <c r="L28" s="52">
        <v>3500</v>
      </c>
      <c r="M28" s="53">
        <v>1463</v>
      </c>
      <c r="N28" s="34">
        <f>'[1]收支月报（从蓝A系统导出粘贴）'!F1310</f>
        <v>3149</v>
      </c>
      <c r="O28" s="25">
        <f t="shared" si="5"/>
        <v>0.899714285714286</v>
      </c>
      <c r="P28" s="24">
        <f t="shared" si="6"/>
        <v>1686</v>
      </c>
      <c r="Q28" s="25">
        <f t="shared" si="7"/>
        <v>1.15242652084757</v>
      </c>
      <c r="R28" s="53">
        <v>3149</v>
      </c>
      <c r="S28" s="24">
        <f t="shared" si="11"/>
        <v>0</v>
      </c>
    </row>
    <row r="29" s="2" customFormat="1" ht="25" customHeight="1" spans="1:19">
      <c r="A29" s="26" t="s">
        <v>79</v>
      </c>
      <c r="B29" s="27"/>
      <c r="C29" s="28">
        <v>0</v>
      </c>
      <c r="D29" s="29">
        <f>'[1]收支月报（从蓝A系统导出粘贴）'!C548</f>
        <v>0</v>
      </c>
      <c r="E29" s="23" t="str">
        <f t="shared" si="1"/>
        <v/>
      </c>
      <c r="F29" s="24" t="str">
        <f t="shared" si="2"/>
        <v/>
      </c>
      <c r="G29" s="25" t="str">
        <f t="shared" si="3"/>
        <v/>
      </c>
      <c r="H29" s="28"/>
      <c r="I29" s="24">
        <f t="shared" si="15"/>
        <v>0</v>
      </c>
      <c r="J29" s="51" t="s">
        <v>80</v>
      </c>
      <c r="K29" s="40" t="s">
        <v>81</v>
      </c>
      <c r="L29" s="57">
        <v>7</v>
      </c>
      <c r="M29" s="53">
        <v>33</v>
      </c>
      <c r="N29" s="34">
        <f>'[1]收支月报（从蓝A系统导出粘贴）'!F1326</f>
        <v>8</v>
      </c>
      <c r="O29" s="25">
        <f t="shared" si="5"/>
        <v>1.14285714285714</v>
      </c>
      <c r="P29" s="24">
        <f t="shared" si="6"/>
        <v>-25</v>
      </c>
      <c r="Q29" s="25">
        <f t="shared" si="7"/>
        <v>-0.757575757575758</v>
      </c>
      <c r="R29" s="53">
        <v>7</v>
      </c>
      <c r="S29" s="24">
        <f t="shared" si="11"/>
        <v>1</v>
      </c>
    </row>
    <row r="30" s="2" customFormat="1" ht="25" customHeight="1" spans="1:19">
      <c r="A30" s="26" t="s">
        <v>82</v>
      </c>
      <c r="B30" s="27">
        <v>3500</v>
      </c>
      <c r="C30" s="28">
        <v>962</v>
      </c>
      <c r="D30" s="29">
        <f>'[1]收支月报（从蓝A系统导出粘贴）'!C567</f>
        <v>5091</v>
      </c>
      <c r="E30" s="23">
        <f t="shared" si="1"/>
        <v>1.45457142857143</v>
      </c>
      <c r="F30" s="24">
        <f t="shared" si="2"/>
        <v>4129</v>
      </c>
      <c r="G30" s="25">
        <f t="shared" si="3"/>
        <v>4.29209979209979</v>
      </c>
      <c r="H30" s="28">
        <v>4605</v>
      </c>
      <c r="I30" s="24">
        <f t="shared" si="15"/>
        <v>486</v>
      </c>
      <c r="J30" s="51" t="s">
        <v>83</v>
      </c>
      <c r="K30" s="40" t="s">
        <v>84</v>
      </c>
      <c r="L30" s="54">
        <v>1800</v>
      </c>
      <c r="M30" s="53"/>
      <c r="N30" s="34"/>
      <c r="O30" s="25">
        <f t="shared" si="5"/>
        <v>0</v>
      </c>
      <c r="P30" s="24" t="str">
        <f t="shared" si="6"/>
        <v/>
      </c>
      <c r="Q30" s="25" t="str">
        <f t="shared" si="7"/>
        <v/>
      </c>
      <c r="R30" s="53"/>
      <c r="S30" s="24">
        <f t="shared" si="11"/>
        <v>0</v>
      </c>
    </row>
    <row r="31" s="2" customFormat="1" ht="15" customHeight="1" spans="1:19">
      <c r="A31" s="26" t="s">
        <v>85</v>
      </c>
      <c r="B31" s="21"/>
      <c r="C31" s="28">
        <v>0</v>
      </c>
      <c r="D31" s="34">
        <f>'[1]收支月报（从蓝A系统导出粘贴）'!C618</f>
        <v>728</v>
      </c>
      <c r="E31" s="23" t="str">
        <f t="shared" si="1"/>
        <v/>
      </c>
      <c r="F31" s="24" t="str">
        <f t="shared" si="2"/>
        <v/>
      </c>
      <c r="G31" s="25" t="str">
        <f t="shared" si="3"/>
        <v/>
      </c>
      <c r="H31" s="28">
        <v>300</v>
      </c>
      <c r="I31" s="24">
        <f t="shared" si="15"/>
        <v>428</v>
      </c>
      <c r="J31" s="51" t="s">
        <v>86</v>
      </c>
      <c r="K31" s="40" t="s">
        <v>87</v>
      </c>
      <c r="L31" s="58"/>
      <c r="M31" s="53"/>
      <c r="N31" s="34"/>
      <c r="O31" s="25" t="str">
        <f t="shared" si="5"/>
        <v/>
      </c>
      <c r="P31" s="24" t="str">
        <f t="shared" si="6"/>
        <v/>
      </c>
      <c r="Q31" s="25" t="str">
        <f t="shared" si="7"/>
        <v/>
      </c>
      <c r="R31" s="53"/>
      <c r="S31" s="24">
        <f t="shared" si="11"/>
        <v>0</v>
      </c>
    </row>
    <row r="32" s="3" customFormat="1" ht="15" customHeight="1" spans="1:20">
      <c r="A32" s="26" t="s">
        <v>88</v>
      </c>
      <c r="B32" s="27">
        <v>0</v>
      </c>
      <c r="C32" s="35">
        <v>2</v>
      </c>
      <c r="D32" s="34">
        <f>'[1]收支月报（从蓝A系统导出粘贴）'!C627</f>
        <v>5</v>
      </c>
      <c r="E32" s="23" t="str">
        <f t="shared" si="1"/>
        <v/>
      </c>
      <c r="F32" s="24">
        <f t="shared" si="2"/>
        <v>3</v>
      </c>
      <c r="G32" s="25">
        <f t="shared" si="3"/>
        <v>1.5</v>
      </c>
      <c r="H32" s="28">
        <v>1</v>
      </c>
      <c r="I32" s="24"/>
      <c r="J32" s="51" t="s">
        <v>89</v>
      </c>
      <c r="K32" s="40" t="s">
        <v>90</v>
      </c>
      <c r="L32" s="58"/>
      <c r="M32" s="53"/>
      <c r="N32" s="39"/>
      <c r="O32" s="25" t="str">
        <f t="shared" si="5"/>
        <v/>
      </c>
      <c r="P32" s="24" t="str">
        <f t="shared" si="6"/>
        <v/>
      </c>
      <c r="Q32" s="25" t="str">
        <f t="shared" si="7"/>
        <v/>
      </c>
      <c r="R32" s="53"/>
      <c r="S32" s="24">
        <f t="shared" si="11"/>
        <v>0</v>
      </c>
      <c r="T32" s="2"/>
    </row>
    <row r="33" s="3" customFormat="1" ht="15" customHeight="1" spans="1:20">
      <c r="A33" s="36"/>
      <c r="B33" s="37"/>
      <c r="C33" s="38"/>
      <c r="D33" s="39"/>
      <c r="E33" s="23"/>
      <c r="F33" s="24"/>
      <c r="G33" s="25"/>
      <c r="H33" s="33"/>
      <c r="I33" s="24"/>
      <c r="J33" s="51"/>
      <c r="K33" s="40"/>
      <c r="L33" s="58"/>
      <c r="M33" s="53"/>
      <c r="N33" s="39"/>
      <c r="O33" s="25"/>
      <c r="P33" s="24"/>
      <c r="Q33" s="25"/>
      <c r="R33" s="53"/>
      <c r="S33" s="24"/>
      <c r="T33" s="2"/>
    </row>
    <row r="34" s="2" customFormat="1" ht="12.75" customHeight="1" spans="1:19">
      <c r="A34" s="16" t="s">
        <v>91</v>
      </c>
      <c r="B34" s="21">
        <v>5823</v>
      </c>
      <c r="C34" s="28">
        <v>3885</v>
      </c>
      <c r="D34" s="29">
        <f>'[1]收支月报（从蓝A系统导出粘贴）'!C637</f>
        <v>700</v>
      </c>
      <c r="E34" s="23">
        <f t="shared" ref="E34:E42" si="16">IF(OR(B34="",B34=0),"",D34/B34)</f>
        <v>0.120212948651898</v>
      </c>
      <c r="F34" s="24">
        <f t="shared" ref="F34:F42" si="17">IF(OR(C34="",C34=0),"",D34-C34)</f>
        <v>-3185</v>
      </c>
      <c r="G34" s="25">
        <f t="shared" ref="G34:G42" si="18">IF(OR(C34="",C34=0),"",SUM(F34/C34))</f>
        <v>-0.81981981981982</v>
      </c>
      <c r="H34" s="28">
        <v>600</v>
      </c>
      <c r="I34" s="24">
        <f>D34-H34</f>
        <v>100</v>
      </c>
      <c r="J34" s="22"/>
      <c r="K34" s="16" t="s">
        <v>92</v>
      </c>
      <c r="L34" s="52">
        <v>7024</v>
      </c>
      <c r="M34" s="59">
        <v>7356</v>
      </c>
      <c r="N34" s="34">
        <f>'[1]收支月报（从蓝A系统导出粘贴）'!F1334</f>
        <v>3353</v>
      </c>
      <c r="O34" s="25">
        <f>IF(OR(L34="",L34=0),"",N34/L34)</f>
        <v>0.477363325740319</v>
      </c>
      <c r="P34" s="24">
        <f>IF(OR(M34="",M34=0),"",N34-M34)</f>
        <v>-4003</v>
      </c>
      <c r="Q34" s="25">
        <f t="shared" ref="Q34:Q42" si="19">IF(OR(M34="",M34=0),"",SUM(P34/M34))</f>
        <v>-0.544181620445894</v>
      </c>
      <c r="R34" s="53">
        <v>3008</v>
      </c>
      <c r="S34" s="24">
        <f>N34-R34</f>
        <v>345</v>
      </c>
    </row>
    <row r="35" s="1" customFormat="1" ht="12.75" customHeight="1" spans="1:19">
      <c r="A35" s="26" t="s">
        <v>93</v>
      </c>
      <c r="B35" s="22">
        <f>SUM(B36:B39)</f>
        <v>8865.5</v>
      </c>
      <c r="C35" s="22">
        <f t="shared" ref="C35:H35" si="20">SUM(C36:C39)</f>
        <v>3984.5</v>
      </c>
      <c r="D35" s="22">
        <f t="shared" si="20"/>
        <v>5232</v>
      </c>
      <c r="E35" s="23">
        <f t="shared" si="16"/>
        <v>0.590152839659354</v>
      </c>
      <c r="F35" s="24">
        <f t="shared" si="17"/>
        <v>1247.5</v>
      </c>
      <c r="G35" s="25">
        <f t="shared" si="18"/>
        <v>0.313088216840256</v>
      </c>
      <c r="H35" s="22">
        <f t="shared" si="20"/>
        <v>4606</v>
      </c>
      <c r="I35" s="24"/>
      <c r="J35" s="22"/>
      <c r="K35" s="40"/>
      <c r="L35" s="29"/>
      <c r="M35" s="29"/>
      <c r="N35" s="29"/>
      <c r="O35" s="60"/>
      <c r="P35" s="24"/>
      <c r="Q35" s="25" t="str">
        <f t="shared" si="19"/>
        <v/>
      </c>
      <c r="R35" s="29"/>
      <c r="S35" s="61"/>
    </row>
    <row r="36" s="1" customFormat="1" ht="12.75" customHeight="1" spans="1:19">
      <c r="A36" s="26" t="s">
        <v>94</v>
      </c>
      <c r="B36" s="29">
        <f>SUM(B8*2)</f>
        <v>7730</v>
      </c>
      <c r="C36" s="29">
        <f t="shared" ref="C36:H36" si="21">C8</f>
        <v>2963</v>
      </c>
      <c r="D36" s="29">
        <f t="shared" si="21"/>
        <v>3999</v>
      </c>
      <c r="E36" s="23">
        <f t="shared" si="16"/>
        <v>0.517335058214748</v>
      </c>
      <c r="F36" s="24">
        <f t="shared" si="17"/>
        <v>1036</v>
      </c>
      <c r="G36" s="25">
        <f t="shared" si="18"/>
        <v>0.349645629429632</v>
      </c>
      <c r="H36" s="29">
        <f t="shared" si="21"/>
        <v>3445</v>
      </c>
      <c r="I36" s="24"/>
      <c r="J36" s="22"/>
      <c r="K36" s="40"/>
      <c r="L36" s="29"/>
      <c r="M36" s="29"/>
      <c r="N36" s="29"/>
      <c r="O36" s="60"/>
      <c r="P36" s="24"/>
      <c r="Q36" s="25" t="str">
        <f t="shared" si="19"/>
        <v/>
      </c>
      <c r="R36" s="29"/>
      <c r="S36" s="61"/>
    </row>
    <row r="37" s="1" customFormat="1" ht="12.75" customHeight="1" spans="1:19">
      <c r="A37" s="26" t="s">
        <v>95</v>
      </c>
      <c r="B37" s="29"/>
      <c r="C37" s="29"/>
      <c r="D37" s="29"/>
      <c r="E37" s="23" t="str">
        <f t="shared" si="16"/>
        <v/>
      </c>
      <c r="F37" s="24" t="str">
        <f t="shared" si="17"/>
        <v/>
      </c>
      <c r="G37" s="25" t="str">
        <f t="shared" si="18"/>
        <v/>
      </c>
      <c r="H37" s="29"/>
      <c r="I37" s="61"/>
      <c r="J37" s="29"/>
      <c r="K37" s="40"/>
      <c r="L37" s="29"/>
      <c r="M37" s="29"/>
      <c r="N37" s="29"/>
      <c r="O37" s="60"/>
      <c r="P37" s="24"/>
      <c r="Q37" s="25" t="str">
        <f t="shared" si="19"/>
        <v/>
      </c>
      <c r="R37" s="29"/>
      <c r="S37" s="61"/>
    </row>
    <row r="38" s="1" customFormat="1" ht="12.75" customHeight="1" spans="1:19">
      <c r="A38" s="26" t="s">
        <v>96</v>
      </c>
      <c r="B38" s="29">
        <f>SUM(B10*1.5)</f>
        <v>475.5</v>
      </c>
      <c r="C38" s="29">
        <f t="shared" ref="C38:H38" si="22">C10*1.5</f>
        <v>391.5</v>
      </c>
      <c r="D38" s="29">
        <f t="shared" si="22"/>
        <v>622.5</v>
      </c>
      <c r="E38" s="23">
        <f t="shared" si="16"/>
        <v>1.30914826498423</v>
      </c>
      <c r="F38" s="24">
        <f t="shared" si="17"/>
        <v>231</v>
      </c>
      <c r="G38" s="25">
        <f t="shared" si="18"/>
        <v>0.590038314176245</v>
      </c>
      <c r="H38" s="29">
        <f t="shared" si="22"/>
        <v>613.5</v>
      </c>
      <c r="I38" s="61"/>
      <c r="J38" s="29"/>
      <c r="K38" s="40"/>
      <c r="L38" s="57"/>
      <c r="M38" s="57"/>
      <c r="N38" s="57"/>
      <c r="O38" s="60"/>
      <c r="P38" s="24"/>
      <c r="Q38" s="25" t="str">
        <f t="shared" si="19"/>
        <v/>
      </c>
      <c r="R38" s="57"/>
      <c r="S38" s="61"/>
    </row>
    <row r="39" s="1" customFormat="1" ht="12.75" customHeight="1" spans="1:19">
      <c r="A39" s="40" t="s">
        <v>97</v>
      </c>
      <c r="B39" s="29">
        <f>SUM(B12*1.5)</f>
        <v>660</v>
      </c>
      <c r="C39" s="29">
        <f t="shared" ref="C39:H39" si="23">C12*1.5</f>
        <v>630</v>
      </c>
      <c r="D39" s="29">
        <f t="shared" si="23"/>
        <v>610.5</v>
      </c>
      <c r="E39" s="23">
        <f t="shared" si="16"/>
        <v>0.925</v>
      </c>
      <c r="F39" s="24">
        <f t="shared" si="17"/>
        <v>-19.5</v>
      </c>
      <c r="G39" s="25">
        <f t="shared" si="18"/>
        <v>-0.030952380952381</v>
      </c>
      <c r="H39" s="29">
        <f t="shared" si="23"/>
        <v>547.5</v>
      </c>
      <c r="I39" s="61"/>
      <c r="J39" s="29"/>
      <c r="K39" s="40"/>
      <c r="L39" s="57"/>
      <c r="M39" s="57"/>
      <c r="N39" s="57"/>
      <c r="O39" s="60"/>
      <c r="P39" s="24"/>
      <c r="Q39" s="25" t="str">
        <f t="shared" si="19"/>
        <v/>
      </c>
      <c r="R39" s="57"/>
      <c r="S39" s="61"/>
    </row>
    <row r="40" s="1" customFormat="1" ht="12.75" customHeight="1" spans="1:19">
      <c r="A40" s="40" t="s">
        <v>98</v>
      </c>
      <c r="B40" s="29">
        <f>SUM(B8+B36)</f>
        <v>11595</v>
      </c>
      <c r="C40" s="29">
        <f t="shared" ref="C40:H40" si="24">C8+C36</f>
        <v>5926</v>
      </c>
      <c r="D40" s="29">
        <f t="shared" si="24"/>
        <v>7998</v>
      </c>
      <c r="E40" s="23">
        <f t="shared" si="16"/>
        <v>0.689780077619664</v>
      </c>
      <c r="F40" s="24">
        <f t="shared" si="17"/>
        <v>2072</v>
      </c>
      <c r="G40" s="25">
        <f t="shared" si="18"/>
        <v>0.349645629429632</v>
      </c>
      <c r="H40" s="29">
        <f t="shared" si="24"/>
        <v>6890</v>
      </c>
      <c r="I40" s="61"/>
      <c r="J40" s="29"/>
      <c r="K40" s="40"/>
      <c r="L40" s="57"/>
      <c r="M40" s="57"/>
      <c r="N40" s="57"/>
      <c r="O40" s="60"/>
      <c r="P40" s="24"/>
      <c r="Q40" s="25" t="str">
        <f t="shared" si="19"/>
        <v/>
      </c>
      <c r="R40" s="57"/>
      <c r="S40" s="61"/>
    </row>
    <row r="41" s="1" customFormat="1" ht="12.75" customHeight="1" spans="1:19">
      <c r="A41" s="40" t="s">
        <v>99</v>
      </c>
      <c r="B41" s="29">
        <f>SUM(B10+B38)</f>
        <v>792.5</v>
      </c>
      <c r="C41" s="29">
        <f t="shared" ref="C41:H41" si="25">C10+C38</f>
        <v>652.5</v>
      </c>
      <c r="D41" s="29">
        <f t="shared" si="25"/>
        <v>1037.5</v>
      </c>
      <c r="E41" s="23">
        <f t="shared" si="16"/>
        <v>1.30914826498423</v>
      </c>
      <c r="F41" s="24">
        <f t="shared" si="17"/>
        <v>385</v>
      </c>
      <c r="G41" s="25">
        <f t="shared" si="18"/>
        <v>0.590038314176245</v>
      </c>
      <c r="H41" s="29">
        <f t="shared" si="25"/>
        <v>1022.5</v>
      </c>
      <c r="I41" s="61"/>
      <c r="J41" s="29"/>
      <c r="K41" s="40"/>
      <c r="L41" s="57"/>
      <c r="M41" s="57"/>
      <c r="N41" s="57"/>
      <c r="O41" s="60"/>
      <c r="P41" s="24"/>
      <c r="Q41" s="25" t="str">
        <f t="shared" si="19"/>
        <v/>
      </c>
      <c r="R41" s="57"/>
      <c r="S41" s="61"/>
    </row>
    <row r="42" s="1" customFormat="1" ht="12.75" customHeight="1" spans="1:19">
      <c r="A42" s="40" t="s">
        <v>100</v>
      </c>
      <c r="B42" s="29">
        <f>SUM(B12+B39)</f>
        <v>1100</v>
      </c>
      <c r="C42" s="29">
        <f t="shared" ref="C42:H42" si="26">C12+C39</f>
        <v>1050</v>
      </c>
      <c r="D42" s="29">
        <f t="shared" si="26"/>
        <v>1017.5</v>
      </c>
      <c r="E42" s="23">
        <f t="shared" si="16"/>
        <v>0.925</v>
      </c>
      <c r="F42" s="24">
        <f t="shared" si="17"/>
        <v>-32.5</v>
      </c>
      <c r="G42" s="25">
        <f t="shared" si="18"/>
        <v>-0.030952380952381</v>
      </c>
      <c r="H42" s="29">
        <f t="shared" si="26"/>
        <v>912.5</v>
      </c>
      <c r="I42" s="61"/>
      <c r="J42" s="29"/>
      <c r="K42" s="40"/>
      <c r="L42" s="57"/>
      <c r="M42" s="57"/>
      <c r="N42" s="57"/>
      <c r="O42" s="60"/>
      <c r="P42" s="24"/>
      <c r="Q42" s="25" t="str">
        <f t="shared" si="19"/>
        <v/>
      </c>
      <c r="R42" s="57"/>
      <c r="S42" s="61"/>
    </row>
  </sheetData>
  <protectedRanges>
    <protectedRange sqref="A1:A2 M1:Q2 C1:I2" name="区域6" securityDescriptor=""/>
    <protectedRange sqref="B1:B2" name="区域6_1_2_1" securityDescriptor=""/>
    <protectedRange sqref="K1:K2" name="区域6_1_4" securityDescriptor=""/>
    <protectedRange sqref="L1:L2" name="区域6_1_3_1" securityDescriptor=""/>
    <protectedRange sqref="B36:B39 D36:D39 H36:H39" name="区域3_1_1_1_1" securityDescriptor=""/>
    <protectedRange sqref="B35 D35 H35" name="区域2_1_1_1_1_2_2_1" securityDescriptor=""/>
    <protectedRange sqref="D34 H34" name="区域2_1_4" securityDescriptor=""/>
    <protectedRange sqref="B34 B31" name="区域2_1_1_1_1_2_2_1_1" securityDescriptor=""/>
    <protectedRange sqref="D31 H31" name="区域2_5_2" securityDescriptor=""/>
    <protectedRange sqref="S35" name="区域3_2" securityDescriptor=""/>
    <protectedRange sqref="D26:D30 H26:H30" name="区域2_5_1_1" securityDescriptor=""/>
    <protectedRange sqref="C36:C39" name="区域3_1_1_1_1_3" securityDescriptor=""/>
    <protectedRange sqref="C35" name="区域2_1_1_1_1_2_2_1_4" securityDescriptor=""/>
    <protectedRange sqref="C34" name="区域2_1_4_3" securityDescriptor=""/>
    <protectedRange sqref="C31" name="区域2_5_2_3" securityDescriptor=""/>
    <protectedRange sqref="C26:C30" name="区域2_5_1_1_3" securityDescriptor=""/>
  </protectedRanges>
  <mergeCells count="18">
    <mergeCell ref="A1:S1"/>
    <mergeCell ref="R2:S2"/>
    <mergeCell ref="D3:E3"/>
    <mergeCell ref="F3:G3"/>
    <mergeCell ref="N3:O3"/>
    <mergeCell ref="P3:Q3"/>
    <mergeCell ref="J5:K5"/>
    <mergeCell ref="J6:K6"/>
    <mergeCell ref="A3:A4"/>
    <mergeCell ref="B3:B4"/>
    <mergeCell ref="C3:C4"/>
    <mergeCell ref="H3:H4"/>
    <mergeCell ref="I3:I4"/>
    <mergeCell ref="L3:L4"/>
    <mergeCell ref="M3:M4"/>
    <mergeCell ref="R3:R4"/>
    <mergeCell ref="S3:S4"/>
    <mergeCell ref="J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2025-02-17T05:08:37Z</dcterms:created>
  <dcterms:modified xsi:type="dcterms:W3CDTF">2025-02-17T05:09:18Z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